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1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1" l="1"/>
  <c r="H3" i="1"/>
  <c r="H5" i="1"/>
  <c r="H7" i="1"/>
  <c r="H6" i="1"/>
  <c r="H8" i="1"/>
  <c r="H4" i="1"/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I15" i="1"/>
  <c r="I14" i="1"/>
  <c r="I13" i="1"/>
  <c r="F3" i="1"/>
  <c r="E18" i="2" s="1"/>
  <c r="F18" i="2" s="1"/>
  <c r="F19" i="2" l="1"/>
  <c r="A20" i="1"/>
  <c r="C20" i="1" s="1"/>
  <c r="I12" i="1" s="1"/>
  <c r="I10" i="1" l="1"/>
  <c r="I11" i="1"/>
  <c r="I7" i="1"/>
  <c r="I9" i="1"/>
  <c r="I8" i="1"/>
  <c r="I6" i="1"/>
  <c r="I4" i="1"/>
  <c r="I5" i="1"/>
  <c r="I3" i="1"/>
  <c r="E20" i="1" l="1"/>
  <c r="H22" i="1" s="1"/>
  <c r="H23" i="1" s="1"/>
  <c r="E3" i="1" l="1"/>
  <c r="E11" i="2" s="1"/>
  <c r="F11" i="2" s="1"/>
  <c r="F12" i="2" s="1"/>
</calcChain>
</file>

<file path=xl/sharedStrings.xml><?xml version="1.0" encoding="utf-8"?>
<sst xmlns="http://schemas.openxmlformats.org/spreadsheetml/2006/main" count="55" uniqueCount="49">
  <si>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</si>
  <si>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</si>
  <si>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</si>
  <si>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</si>
  <si>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</si>
  <si>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</si>
  <si>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</si>
  <si>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</si>
  <si>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</si>
  <si>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</si>
  <si>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</si>
  <si>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</si>
  <si>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</si>
  <si>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</si>
  <si>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</si>
  <si>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</si>
  <si>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</si>
  <si>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</si>
  <si>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</si>
  <si>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</si>
  <si>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</si>
  <si>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</si>
  <si>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</si>
  <si>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</si>
  <si>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</si>
  <si>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</si>
  <si>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</si>
  <si>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</si>
  <si>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</si>
  <si>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</si>
  <si>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</si>
  <si>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</si>
  <si>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</si>
  <si>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</si>
  <si>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</si>
  <si>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</si>
  <si>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</si>
  <si>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dose</t>
  </si>
  <si>
    <t>37.139.863/0001-54 IMUNOHEALTH SERVICOS MEDICOS LTDA</t>
  </si>
  <si>
    <t>26.105.481/0001-93 ACCIL VACINAS LTDA</t>
  </si>
  <si>
    <t>15.274.684/0001-97 BIOVACINES LTDA</t>
  </si>
  <si>
    <t>31.195.559/0001-48 IMUNIZA MAIS CENTRO DE VACINACAO LTDA</t>
  </si>
  <si>
    <t>02.215.288/0001-47 CLINICA REABILITAR EIRELI</t>
  </si>
  <si>
    <t>10.629.755/0001-03 MOREIRA &amp; PEIXOTO CAMPOS LTDA</t>
  </si>
  <si>
    <t>21.207.186/0001-24 VACINEMAIS CLINICA DE VACINACAO LTDA.</t>
  </si>
  <si>
    <t>10.588.595/0010-92 SANOFI MEDLEY FARMACEUTICA LTDA</t>
  </si>
  <si>
    <t>32.637.787/0001-93 LABACLEN LABORATORIO DE ANALISES CLINICAS E ENDOCRINOLOGICAS</t>
  </si>
  <si>
    <t>13.627.448/0001-81 IMUNIZAR VACINAS</t>
  </si>
  <si>
    <t xml:space="preserve">Imunização por meio de vacina Influenza Quadrivalente com cepas definidas pela Organização Mundial de Saúde – OMS, para o ano de 2022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</si>
</sst>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_-&quot;R$ &quot;* #,##0.00_-;&quot;-R$ &quot;* #,##0.00_-;_-&quot;R$ &quot;* \-??_-;_-@_-"/>
    <numFmt numFmtId="166" formatCode="_-&quot;R$ &quot;* #,##0.000_-;&quot;-R$ &quot;* #,##0.0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166" fontId="10" fillId="10" borderId="2" xfId="1" applyNumberFormat="1" applyFont="1" applyFill="1" applyBorder="1" applyAlignment="1" applyProtection="1">
      <alignment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0</xdr:rowOff>
    </xdr:from>
    <xdr:to>
      <xdr:col>2</xdr:col>
      <xdr:colOff>323850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A2" zoomScaleNormal="100" workbookViewId="0">
      <selection activeCell="B3" sqref="B3:B1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48</v>
      </c>
      <c r="C3" s="48" t="s">
        <v>37</v>
      </c>
      <c r="D3" s="49">
        <v>1200</v>
      </c>
      <c r="E3" s="50">
        <f>IF(C20&lt;=25%,D20,MIN(E20:F20))</f>
        <v>71.66</v>
      </c>
      <c r="F3" s="50">
        <f>MIN(H3:H17)</f>
        <v>47.533999999999999</v>
      </c>
      <c r="G3" s="6" t="s">
        <v>38</v>
      </c>
      <c r="H3" s="7">
        <f>113620/988</f>
        <v>115</v>
      </c>
      <c r="I3" s="8">
        <f t="shared" ref="I3:I17" si="0">IF(H3="","",(IF($C$20&lt;25%,"N/A",IF(H3&lt;=($D$20+$A$20),H3,"Descartado"))))</f>
        <v>115</v>
      </c>
    </row>
    <row r="4" spans="1:9">
      <c r="A4" s="46"/>
      <c r="B4" s="47"/>
      <c r="C4" s="48"/>
      <c r="D4" s="49"/>
      <c r="E4" s="50"/>
      <c r="F4" s="50"/>
      <c r="G4" s="6" t="s">
        <v>39</v>
      </c>
      <c r="H4" s="7">
        <f>63988/988</f>
        <v>64.765182186234824</v>
      </c>
      <c r="I4" s="8">
        <f t="shared" si="0"/>
        <v>64.765182186234824</v>
      </c>
    </row>
    <row r="5" spans="1:9">
      <c r="A5" s="46"/>
      <c r="B5" s="47"/>
      <c r="C5" s="48"/>
      <c r="D5" s="49"/>
      <c r="E5" s="50"/>
      <c r="F5" s="50"/>
      <c r="G5" s="6" t="s">
        <v>40</v>
      </c>
      <c r="H5" s="7">
        <f>72000/988</f>
        <v>72.874493927125499</v>
      </c>
      <c r="I5" s="8">
        <f t="shared" si="0"/>
        <v>72.874493927125499</v>
      </c>
    </row>
    <row r="6" spans="1:9">
      <c r="A6" s="46"/>
      <c r="B6" s="47"/>
      <c r="C6" s="48"/>
      <c r="D6" s="49"/>
      <c r="E6" s="50"/>
      <c r="F6" s="50"/>
      <c r="G6" s="6" t="s">
        <v>41</v>
      </c>
      <c r="H6" s="7">
        <f>65400/988</f>
        <v>66.194331983805668</v>
      </c>
      <c r="I6" s="8">
        <f t="shared" si="0"/>
        <v>66.194331983805668</v>
      </c>
    </row>
    <row r="7" spans="1:9">
      <c r="A7" s="46"/>
      <c r="B7" s="47"/>
      <c r="C7" s="48"/>
      <c r="D7" s="49"/>
      <c r="E7" s="50"/>
      <c r="F7" s="50"/>
      <c r="G7" s="6" t="s">
        <v>42</v>
      </c>
      <c r="H7" s="7">
        <f>69600/988</f>
        <v>70.445344129554655</v>
      </c>
      <c r="I7" s="8">
        <f t="shared" si="0"/>
        <v>70.445344129554655</v>
      </c>
    </row>
    <row r="8" spans="1:9">
      <c r="A8" s="46"/>
      <c r="B8" s="47"/>
      <c r="C8" s="48"/>
      <c r="D8" s="49"/>
      <c r="E8" s="50"/>
      <c r="F8" s="50"/>
      <c r="G8" s="6" t="s">
        <v>43</v>
      </c>
      <c r="H8" s="7">
        <f>64090/988</f>
        <v>64.868421052631575</v>
      </c>
      <c r="I8" s="8">
        <f t="shared" si="0"/>
        <v>64.868421052631575</v>
      </c>
    </row>
    <row r="9" spans="1:9">
      <c r="A9" s="46"/>
      <c r="B9" s="47"/>
      <c r="C9" s="48"/>
      <c r="D9" s="49"/>
      <c r="E9" s="50"/>
      <c r="F9" s="50"/>
      <c r="G9" s="6" t="s">
        <v>44</v>
      </c>
      <c r="H9" s="7">
        <f>177840/988</f>
        <v>180</v>
      </c>
      <c r="I9" s="8" t="str">
        <f t="shared" si="0"/>
        <v>Descartado</v>
      </c>
    </row>
    <row r="10" spans="1:9">
      <c r="A10" s="46"/>
      <c r="B10" s="47"/>
      <c r="C10" s="48"/>
      <c r="D10" s="49"/>
      <c r="E10" s="50"/>
      <c r="F10" s="50"/>
      <c r="G10" s="6" t="s">
        <v>45</v>
      </c>
      <c r="H10" s="7">
        <v>47.533999999999999</v>
      </c>
      <c r="I10" s="8">
        <f t="shared" si="0"/>
        <v>47.533999999999999</v>
      </c>
    </row>
    <row r="11" spans="1:9">
      <c r="A11" s="46"/>
      <c r="B11" s="47"/>
      <c r="C11" s="48"/>
      <c r="D11" s="49"/>
      <c r="E11" s="50"/>
      <c r="F11" s="50"/>
      <c r="G11" s="6" t="s">
        <v>46</v>
      </c>
      <c r="H11" s="7">
        <v>80</v>
      </c>
      <c r="I11" s="8">
        <f t="shared" si="0"/>
        <v>80</v>
      </c>
    </row>
    <row r="12" spans="1:9">
      <c r="A12" s="46"/>
      <c r="B12" s="47"/>
      <c r="C12" s="48"/>
      <c r="D12" s="49"/>
      <c r="E12" s="50"/>
      <c r="F12" s="50"/>
      <c r="G12" s="6" t="s">
        <v>47</v>
      </c>
      <c r="H12" s="7">
        <v>110</v>
      </c>
      <c r="I12" s="8">
        <f t="shared" si="0"/>
        <v>110</v>
      </c>
    </row>
    <row r="13" spans="1:9">
      <c r="A13" s="46"/>
      <c r="B13" s="47"/>
      <c r="C13" s="48"/>
      <c r="D13" s="49"/>
      <c r="E13" s="50"/>
      <c r="F13" s="50"/>
      <c r="G13" s="6"/>
      <c r="H13" s="7"/>
      <c r="I13" s="8" t="str">
        <f t="shared" si="0"/>
        <v/>
      </c>
    </row>
    <row r="14" spans="1:9">
      <c r="A14" s="46"/>
      <c r="B14" s="47"/>
      <c r="C14" s="48"/>
      <c r="D14" s="49"/>
      <c r="E14" s="50"/>
      <c r="F14" s="50"/>
      <c r="G14" s="6"/>
      <c r="H14" s="7"/>
      <c r="I14" s="8" t="str">
        <f t="shared" si="0"/>
        <v/>
      </c>
    </row>
    <row r="15" spans="1:9">
      <c r="A15" s="46"/>
      <c r="B15" s="47"/>
      <c r="C15" s="48"/>
      <c r="D15" s="49"/>
      <c r="E15" s="50"/>
      <c r="F15" s="50"/>
      <c r="G15" s="6"/>
      <c r="H15" s="7"/>
      <c r="I15" s="8" t="str">
        <f t="shared" si="0"/>
        <v/>
      </c>
    </row>
    <row r="16" spans="1:9">
      <c r="A16" s="46"/>
      <c r="B16" s="47"/>
      <c r="C16" s="48"/>
      <c r="D16" s="49"/>
      <c r="E16" s="50"/>
      <c r="F16" s="50"/>
      <c r="G16" s="6"/>
      <c r="H16" s="7"/>
      <c r="I16" s="8" t="str">
        <f t="shared" si="0"/>
        <v/>
      </c>
    </row>
    <row r="17" spans="1:11">
      <c r="A17" s="46"/>
      <c r="B17" s="47"/>
      <c r="C17" s="48"/>
      <c r="D17" s="49"/>
      <c r="E17" s="50"/>
      <c r="F17" s="5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1" t="s">
        <v>16</v>
      </c>
      <c r="H19" s="51"/>
      <c r="I19" s="18"/>
    </row>
    <row r="20" spans="1:11">
      <c r="A20" s="19">
        <f>IF(B20&lt;2,"N/A",(STDEV(H3:H17)))</f>
        <v>38.670888568623951</v>
      </c>
      <c r="B20" s="19">
        <f>COUNT(H3:H17)</f>
        <v>10</v>
      </c>
      <c r="C20" s="20">
        <f>IF(B20&lt;2,"N/A",(A20/D20))</f>
        <v>0.44362611642335609</v>
      </c>
      <c r="D20" s="21">
        <f>ROUND(AVERAGE(H3:H17),2)</f>
        <v>87.17</v>
      </c>
      <c r="E20" s="22">
        <f>IFERROR(ROUND(IF(B20&lt;2,"N/A",(IF(C20&lt;=25%,"N/A",AVERAGE(I3:I17)))),2),"N/A")</f>
        <v>76.849999999999994</v>
      </c>
      <c r="F20" s="22">
        <f>ROUND(MEDIAN(H3:H17),2)</f>
        <v>71.66</v>
      </c>
      <c r="G20" s="23" t="str">
        <f>INDEX(G3:G17,MATCH(H20,H3:H17,0))</f>
        <v>10.588.595/0010-92 SANOFI MEDLEY FARMACEUTICA LTDA</v>
      </c>
      <c r="H20" s="24">
        <f>MIN(H3:H17)</f>
        <v>47.533999999999999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2"/>
      <c r="E22" s="52"/>
      <c r="F22" s="30"/>
      <c r="G22" s="31" t="s">
        <v>17</v>
      </c>
      <c r="H22" s="32">
        <f>IF(C20&lt;=25%,D20,MIN(E20:F20))</f>
        <v>71.66</v>
      </c>
    </row>
    <row r="23" spans="1:11">
      <c r="B23" s="25"/>
      <c r="C23" s="25"/>
      <c r="D23" s="52"/>
      <c r="E23" s="52"/>
      <c r="F23" s="33"/>
      <c r="G23" s="4" t="s">
        <v>18</v>
      </c>
      <c r="H23" s="24">
        <f>ROUND(H22,2)*D3</f>
        <v>85992</v>
      </c>
    </row>
    <row r="24" spans="1:11">
      <c r="B24" s="29"/>
      <c r="C24" s="29"/>
      <c r="D24" s="18"/>
      <c r="E24" s="18"/>
    </row>
    <row r="26" spans="1:11" ht="12.75" customHeight="1">
      <c r="A26" s="53" t="s">
        <v>19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20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21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22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23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24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25</v>
      </c>
      <c r="B32" s="54"/>
      <c r="C32" s="54"/>
      <c r="D32" s="54"/>
      <c r="E32" s="54"/>
      <c r="F32" s="54"/>
      <c r="G32" s="54"/>
      <c r="H32" s="54"/>
      <c r="I32" s="5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tabSelected="1" view="pageBreakPreview" zoomScaleNormal="100" workbookViewId="0">
      <selection activeCell="E18" sqref="E18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7" ht="12.75" customHeight="1">
      <c r="A1" s="55"/>
      <c r="B1" s="55"/>
      <c r="C1" s="55"/>
      <c r="D1" s="55"/>
      <c r="E1" s="55"/>
      <c r="F1" s="55"/>
    </row>
    <row r="2" spans="1:7" ht="12.75" customHeight="1">
      <c r="A2" s="55"/>
      <c r="B2" s="55"/>
      <c r="C2" s="55"/>
      <c r="D2" s="55"/>
      <c r="E2" s="55"/>
      <c r="F2" s="55"/>
    </row>
    <row r="3" spans="1:7" ht="12.75" customHeight="1">
      <c r="A3" s="55"/>
      <c r="B3" s="55"/>
      <c r="C3" s="55"/>
      <c r="D3" s="55"/>
      <c r="E3" s="55"/>
      <c r="F3" s="55"/>
    </row>
    <row r="4" spans="1:7" ht="12.75" customHeight="1">
      <c r="A4" s="55"/>
      <c r="B4" s="55"/>
      <c r="C4" s="55"/>
      <c r="D4" s="55"/>
      <c r="E4" s="55"/>
      <c r="F4" s="55"/>
    </row>
    <row r="5" spans="1:7" ht="12.75" customHeight="1">
      <c r="A5" s="55"/>
      <c r="B5" s="55"/>
      <c r="C5" s="55"/>
      <c r="D5" s="55"/>
      <c r="E5" s="55"/>
      <c r="F5" s="55"/>
    </row>
    <row r="6" spans="1:7" ht="12.75" customHeight="1">
      <c r="A6" s="55"/>
      <c r="B6" s="55"/>
      <c r="C6" s="55"/>
      <c r="D6" s="55"/>
      <c r="E6" s="55"/>
      <c r="F6" s="55"/>
    </row>
    <row r="7" spans="1:7" ht="12.75" customHeight="1">
      <c r="A7" s="55"/>
      <c r="B7" s="55"/>
      <c r="C7" s="55"/>
      <c r="D7" s="55"/>
      <c r="E7" s="55"/>
      <c r="F7" s="55"/>
    </row>
    <row r="8" spans="1:7" ht="12.75" customHeight="1">
      <c r="A8" s="58"/>
      <c r="B8" s="58"/>
      <c r="C8" s="58"/>
      <c r="D8" s="58"/>
      <c r="E8" s="58"/>
      <c r="F8" s="58"/>
    </row>
    <row r="9" spans="1:7" ht="15.75" customHeight="1">
      <c r="A9" s="56" t="s">
        <v>26</v>
      </c>
      <c r="B9" s="56"/>
      <c r="C9" s="56"/>
      <c r="D9" s="56"/>
      <c r="E9" s="56"/>
      <c r="F9" s="56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38.25">
      <c r="A11" s="37">
        <v>1</v>
      </c>
      <c r="B11" s="38" t="str">
        <f>Item1!B3</f>
        <v xml:space="preserve">Imunização por meio de vacina Influenza Quadrivalente com cepas definidas pela Organização Mundial de Saúde – OMS, para o ano de 2022
</v>
      </c>
      <c r="C11" s="37" t="str">
        <f>Item1!C3</f>
        <v>dose</v>
      </c>
      <c r="D11" s="37">
        <f>Item1!D3</f>
        <v>1200</v>
      </c>
      <c r="E11" s="39">
        <f>Item1!E3</f>
        <v>71.66</v>
      </c>
      <c r="F11" s="39">
        <f>(ROUND(E11,2)*D11)</f>
        <v>85992</v>
      </c>
      <c r="G11" s="40"/>
    </row>
    <row r="12" spans="1:7" ht="15.75" customHeight="1">
      <c r="A12" s="41"/>
      <c r="B12" s="41"/>
      <c r="C12" s="56" t="s">
        <v>33</v>
      </c>
      <c r="D12" s="56"/>
      <c r="E12" s="56"/>
      <c r="F12" s="42">
        <f>SUM(F11:F11)</f>
        <v>85992</v>
      </c>
    </row>
    <row r="15" spans="1:7" ht="15.75" customHeight="1">
      <c r="A15" s="56" t="s">
        <v>34</v>
      </c>
      <c r="B15" s="56"/>
      <c r="C15" s="56"/>
      <c r="D15" s="56"/>
      <c r="E15" s="56"/>
      <c r="F15" s="56"/>
    </row>
    <row r="16" spans="1:7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35</v>
      </c>
      <c r="B17" s="57" t="str">
        <f>Item1!G20</f>
        <v>10.588.595/0010-92 SANOFI MEDLEY FARMACEUTICA LTDA</v>
      </c>
      <c r="C17" s="57"/>
      <c r="D17" s="57"/>
      <c r="E17" s="57"/>
      <c r="F17" s="57"/>
    </row>
    <row r="18" spans="1:6" ht="38.25">
      <c r="A18" s="37">
        <v>1</v>
      </c>
      <c r="B18" s="38" t="str">
        <f>Item1!B3</f>
        <v xml:space="preserve">Imunização por meio de vacina Influenza Quadrivalente com cepas definidas pela Organização Mundial de Saúde – OMS, para o ano de 2022
</v>
      </c>
      <c r="C18" s="37" t="str">
        <f>Item1!C3</f>
        <v>dose</v>
      </c>
      <c r="D18" s="37">
        <f>Item1!D3</f>
        <v>1200</v>
      </c>
      <c r="E18" s="44">
        <f>Item1!F3</f>
        <v>47.533999999999999</v>
      </c>
      <c r="F18" s="39">
        <f>((E18)*D18)</f>
        <v>57040.799999999996</v>
      </c>
    </row>
    <row r="19" spans="1:6" ht="30" customHeight="1">
      <c r="A19" s="41"/>
      <c r="B19" s="41"/>
      <c r="C19" s="56" t="s">
        <v>36</v>
      </c>
      <c r="D19" s="56"/>
      <c r="E19" s="56"/>
      <c r="F19" s="42">
        <f>SUM(F18:F18)</f>
        <v>57040.799999999996</v>
      </c>
    </row>
  </sheetData>
  <mergeCells count="13">
    <mergeCell ref="A15:F15"/>
    <mergeCell ref="B17:F17"/>
    <mergeCell ref="C19:E19"/>
    <mergeCell ref="A6:F6"/>
    <mergeCell ref="A7:F7"/>
    <mergeCell ref="A8:F8"/>
    <mergeCell ref="A9:F9"/>
    <mergeCell ref="C12:E12"/>
    <mergeCell ref="A1:F1"/>
    <mergeCell ref="A2:F2"/>
    <mergeCell ref="A3:F3"/>
    <mergeCell ref="A4:F4"/>
    <mergeCell ref="A5:F5"/>
  </mergeCells>
  <pageMargins left="0.51180555555555496" right="0.51180555555555496" top="0.78749999999999998" bottom="0.95416666666666705" header="0.51180555555555496" footer="0.78749999999999998"/>
  <pageSetup paperSize="9" scale="91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20</cp:revision>
  <cp:lastPrinted>2022-03-07T12:25:04Z</cp:lastPrinted>
  <dcterms:created xsi:type="dcterms:W3CDTF">2019-01-16T20:04:04Z</dcterms:created>
  <dcterms:modified xsi:type="dcterms:W3CDTF">2022-04-12T14:02:30Z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